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eri_mason_education_ky_gov/Documents/Reports/WKY SAFE funds Monthly Reports/"/>
    </mc:Choice>
  </mc:AlternateContent>
  <xr:revisionPtr revIDLastSave="198" documentId="8_{EEBEB17D-3B26-47A2-813F-4F73C37DC0AF}" xr6:coauthVersionLast="47" xr6:coauthVersionMax="47" xr10:uidLastSave="{AA3C4C23-2364-40A7-B6A3-E6DE64B80DCD}"/>
  <bookViews>
    <workbookView xWindow="28680" yWindow="-120" windowWidth="29040" windowHeight="15720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S12" i="1"/>
  <c r="O12" i="1"/>
  <c r="S3" i="1"/>
  <c r="Q5" i="1"/>
  <c r="Q2" i="1"/>
  <c r="V2" i="1"/>
  <c r="G12" i="1"/>
  <c r="F12" i="1"/>
  <c r="E12" i="1"/>
  <c r="O6" i="1"/>
  <c r="I6" i="1"/>
  <c r="E6" i="1"/>
  <c r="O8" i="1"/>
  <c r="L8" i="1"/>
  <c r="L7" i="1"/>
  <c r="I8" i="1"/>
  <c r="I7" i="1"/>
  <c r="S10" i="1" l="1"/>
  <c r="X6" i="1" l="1"/>
  <c r="X3" i="1"/>
  <c r="S9" i="1"/>
  <c r="E9" i="1"/>
  <c r="S2" i="1" l="1"/>
  <c r="O2" i="1"/>
  <c r="L12" i="1"/>
  <c r="I12" i="1"/>
  <c r="G2" i="1"/>
  <c r="E2" i="1"/>
  <c r="Z11" i="1"/>
  <c r="V11" i="1"/>
  <c r="Q11" i="1"/>
  <c r="Q9" i="1"/>
  <c r="E8" i="1"/>
  <c r="C2" i="1"/>
  <c r="P12" i="1"/>
  <c r="M12" i="1"/>
  <c r="Z6" i="1"/>
  <c r="X12" i="1"/>
  <c r="W12" i="1"/>
  <c r="Y12" i="1"/>
  <c r="T12" i="1"/>
  <c r="R12" i="1"/>
  <c r="H12" i="1"/>
  <c r="J12" i="1"/>
  <c r="D12" i="1"/>
  <c r="C11" i="1"/>
  <c r="Z2" i="1"/>
  <c r="V3" i="1"/>
  <c r="Q3" i="1"/>
  <c r="Q4" i="1"/>
  <c r="Q10" i="1"/>
  <c r="C5" i="1"/>
  <c r="C3" i="1" l="1"/>
  <c r="C4" i="1"/>
  <c r="C6" i="1"/>
  <c r="C7" i="1"/>
  <c r="C8" i="1"/>
  <c r="C9" i="1"/>
  <c r="C10" i="1"/>
  <c r="Q8" i="1"/>
  <c r="C12" i="1" l="1"/>
  <c r="V10" i="1"/>
  <c r="V7" i="1"/>
  <c r="V4" i="1"/>
  <c r="V8" i="1"/>
  <c r="V9" i="1"/>
  <c r="L6" i="1"/>
  <c r="Q6" i="1" s="1"/>
  <c r="S6" i="1"/>
  <c r="V6" i="1" s="1"/>
  <c r="V12" i="1" l="1"/>
  <c r="Q7" i="1"/>
  <c r="Q12" i="1" s="1"/>
  <c r="S5" i="1"/>
  <c r="V5" i="1" l="1"/>
  <c r="Z3" i="1" l="1"/>
  <c r="Z12" i="1" s="1"/>
  <c r="Z4" i="1"/>
  <c r="Z5" i="1"/>
  <c r="Z7" i="1"/>
  <c r="Z8" i="1"/>
  <c r="Z9" i="1"/>
  <c r="Z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tc={409850AC-6889-4C20-919D-99240EAAA5E8}</author>
    <author>tc={4B076AE6-1B1B-4E1D-8137-0288D384703C}</author>
    <author>tc={0441B2D5-8236-4405-8A7F-FCFE76C8B02B}</author>
    <author>tc={3325DB43-C04A-46D3-A653-7E429D746DC2}</author>
  </authors>
  <commentList>
    <comment ref="B2" authorId="0" shapeId="0" xr:uid="{409850AC-6889-4C20-919D-99240EAAA5E8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Districted amended request 3/15/23
Reply:
    District amended request 4/19/23
Reply:
    District amended 4/25/23
Reply:
    District amended 5/25/23
Reply:
    District amended 5/31/23
Reply:
    District amended 7/13/23, 7/20/23, 8/7/23
Reply:
    Amendment approved 8/7/23 and 8/15/23</t>
      </text>
    </comment>
    <comment ref="B3" authorId="1" shapeId="0" xr:uid="{4B076AE6-1B1B-4E1D-8137-0288D384703C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approval for plan amendment 10/27/22
Reply:
    District received approval for plan amendment 12/6/22
Reply:
    District amendment 2/16/23
Reply:
    District amended 5/24/23
Reply:
    District amended 5/31/23</t>
      </text>
    </comment>
    <comment ref="B6" authorId="2" shapeId="0" xr:uid="{0441B2D5-8236-4405-8A7F-FCFE76C8B02B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submitted amendment 6/30/22
Reply:
    District amended 4/22/23
Reply:
    District amended 5/4/23</t>
      </text>
    </comment>
    <comment ref="B8" authorId="3" shapeId="0" xr:uid="{3325DB43-C04A-46D3-A653-7E429D746DC2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
Reply:
    District submitted another amendment approved by District Support on 8/31/22
Reply:
    District submitted another amendment partially approved by District Support on 2/7/23
Reply:
    District submitted amendment 2/17/23
Reply:
    District amended 4/25/23
Reply:
    District amended 5/18/23</t>
      </text>
    </comment>
  </commentList>
</comments>
</file>

<file path=xl/sharedStrings.xml><?xml version="1.0" encoding="utf-8"?>
<sst xmlns="http://schemas.openxmlformats.org/spreadsheetml/2006/main" count="52" uniqueCount="39">
  <si>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</si>
  <si>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</si>
  <si>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</si>
  <si>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</si>
  <si>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</si>
  <si>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</si>
  <si>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</si>
  <si>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</si>
  <si>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</si>
  <si>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</si>
  <si>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</si>
  <si>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</si>
  <si>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</si>
  <si>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</si>
  <si>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</si>
  <si>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</si>
  <si>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</si>
  <si>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</si>
  <si>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</si>
  <si>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</si>
  <si>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</si>
  <si>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</si>
  <si>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</si>
  <si>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</si>
  <si>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</si>
  <si>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</si>
  <si>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</si>
  <si>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</si>
  <si>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</si>
  <si>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</si>
  <si>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</si>
  <si>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</si>
  <si>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</si>
  <si>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</si>
  <si>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</si>
  <si>
    <t>Wrap Around Paid-School/Community Activities-paid this cycle</t>
  </si>
  <si>
    <t>Wrap Around Paid-School/Community Activities</t>
  </si>
  <si>
    <t>Hopkins County</t>
  </si>
  <si>
    <t>Districts paid in 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</si>
</sst>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0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0" fillId="0" borderId="6" xfId="0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0" xfId="1" applyFont="1"/>
    <xf numFmtId="164" fontId="0" fillId="0" borderId="6" xfId="0" applyNumberFormat="1" applyBorder="1"/>
    <xf numFmtId="44" fontId="0" fillId="0" borderId="0" xfId="0" applyNumberFormat="1"/>
    <xf numFmtId="44" fontId="0" fillId="0" borderId="0" xfId="1" applyFont="1" applyBorder="1"/>
    <xf numFmtId="164" fontId="0" fillId="0" borderId="0" xfId="0" applyNumberFormat="1"/>
    <xf numFmtId="44" fontId="0" fillId="0" borderId="7" xfId="1" applyFont="1" applyFill="1" applyBorder="1"/>
    <xf numFmtId="44" fontId="0" fillId="0" borderId="0" xfId="1" applyFont="1" applyFill="1" applyBorder="1"/>
    <xf numFmtId="164" fontId="2" fillId="0" borderId="0" xfId="0" applyNumberFormat="1" applyFont="1"/>
    <xf numFmtId="164" fontId="2" fillId="0" borderId="15" xfId="0" applyNumberFormat="1" applyFont="1" applyBorder="1"/>
    <xf numFmtId="164" fontId="0" fillId="2" borderId="1" xfId="0" applyNumberFormat="1" applyFill="1" applyBorder="1"/>
    <xf numFmtId="0" fontId="2" fillId="0" borderId="16" xfId="0" applyFont="1" applyBorder="1"/>
    <xf numFmtId="0" fontId="2" fillId="0" borderId="17" xfId="0" applyFont="1" applyBorder="1"/>
    <xf numFmtId="164" fontId="2" fillId="0" borderId="17" xfId="0" applyNumberFormat="1" applyFont="1" applyBorder="1"/>
    <xf numFmtId="164" fontId="2" fillId="2" borderId="17" xfId="0" applyNumberFormat="1" applyFont="1" applyFill="1" applyBorder="1"/>
    <xf numFmtId="164" fontId="2" fillId="0" borderId="18" xfId="0" applyNumberFormat="1" applyFont="1" applyBorder="1"/>
    <xf numFmtId="164" fontId="2" fillId="0" borderId="16" xfId="0" applyNumberFormat="1" applyFont="1" applyBorder="1"/>
    <xf numFmtId="0" fontId="0" fillId="0" borderId="16" xfId="0" applyBorder="1"/>
    <xf numFmtId="44" fontId="0" fillId="0" borderId="15" xfId="1" applyFont="1" applyBorder="1"/>
    <xf numFmtId="4" fontId="0" fillId="0" borderId="6" xfId="0" applyNumberFormat="1" applyBorder="1"/>
    <xf numFmtId="164" fontId="2" fillId="0" borderId="19" xfId="0" applyNumberFormat="1" applyFont="1" applyBorder="1"/>
    <xf numFmtId="0" fontId="2" fillId="3" borderId="6" xfId="0" applyFont="1" applyFill="1" applyBorder="1"/>
    <xf numFmtId="0" fontId="0" fillId="3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3-03-30T14:35:04.54" personId="{73D40049-5642-4B29-8DCB-76AF88983CC5}" id="{409850AC-6889-4C20-919D-99240EAAA5E8}">
    <text>Districted amended request 3/15/23</text>
  </threadedComment>
  <threadedComment ref="B2" dT="2023-05-05T12:41:26.11" personId="{73D40049-5642-4B29-8DCB-76AF88983CC5}" id="{8721D306-6222-45C8-8208-2AF885598954}" parentId="{409850AC-6889-4C20-919D-99240EAAA5E8}">
    <text>District amended request 4/19/23</text>
  </threadedComment>
  <threadedComment ref="B2" dT="2023-05-05T12:51:31.27" personId="{73D40049-5642-4B29-8DCB-76AF88983CC5}" id="{AF315C74-8B92-4A44-B45A-9EE204B0E07A}" parentId="{409850AC-6889-4C20-919D-99240EAAA5E8}">
    <text>District amended 4/25/23</text>
  </threadedComment>
  <threadedComment ref="B2" dT="2023-06-05T18:13:24.81" personId="{73D40049-5642-4B29-8DCB-76AF88983CC5}" id="{CFC9C270-B4BC-4201-80F1-65CC387819BA}" parentId="{409850AC-6889-4C20-919D-99240EAAA5E8}">
    <text>District amended 5/25/23</text>
  </threadedComment>
  <threadedComment ref="B2" dT="2023-06-05T18:13:34.23" personId="{73D40049-5642-4B29-8DCB-76AF88983CC5}" id="{CB031BCC-E6D5-4033-98D9-C0A5A03F37A3}" parentId="{409850AC-6889-4C20-919D-99240EAAA5E8}">
    <text>District amended 5/31/23</text>
  </threadedComment>
  <threadedComment ref="B2" dT="2023-08-07T11:47:07.06" personId="{73D40049-5642-4B29-8DCB-76AF88983CC5}" id="{C25A3601-A604-422A-AF4B-76E992901C7A}" parentId="{409850AC-6889-4C20-919D-99240EAAA5E8}">
    <text>District amended 7/13/23, 7/20/23, 8/7/23</text>
  </threadedComment>
  <threadedComment ref="B2" dT="2023-09-06T14:25:36.35" personId="{73D40049-5642-4B29-8DCB-76AF88983CC5}" id="{30722248-C96C-4D61-AD65-1C3D9222736F}" parentId="{409850AC-6889-4C20-919D-99240EAAA5E8}">
    <text>Amendment approved 8/7/23 and 8/15/23</text>
  </threadedComment>
  <threadedComment ref="B3" dT="2022-11-09T13:01:45.52" personId="{73D40049-5642-4B29-8DCB-76AF88983CC5}" id="{4B076AE6-1B1B-4E1D-8137-0288D384703C}">
    <text>District received approval for plan amendment 10/27/22</text>
  </threadedComment>
  <threadedComment ref="B3" dT="2022-12-07T12:49:45.86" personId="{73D40049-5642-4B29-8DCB-76AF88983CC5}" id="{46932890-34A2-48CB-8414-21CC1EF7AC0A}" parentId="{4B076AE6-1B1B-4E1D-8137-0288D384703C}">
    <text>District received approval for plan amendment 12/6/22</text>
  </threadedComment>
  <threadedComment ref="B3" dT="2023-05-09T14:55:01.45" personId="{73D40049-5642-4B29-8DCB-76AF88983CC5}" id="{3B81B03B-018D-4E28-9459-C242A1F94E1C}" parentId="{4B076AE6-1B1B-4E1D-8137-0288D384703C}">
    <text>District amendment 2/16/23</text>
  </threadedComment>
  <threadedComment ref="B3" dT="2023-06-05T18:13:56.86" personId="{73D40049-5642-4B29-8DCB-76AF88983CC5}" id="{0BBA71F0-04B7-40D6-B2CB-68FA40648A87}" parentId="{4B076AE6-1B1B-4E1D-8137-0288D384703C}">
    <text>District amended 5/24/23</text>
  </threadedComment>
  <threadedComment ref="B3" dT="2023-06-05T18:14:14.42" personId="{73D40049-5642-4B29-8DCB-76AF88983CC5}" id="{87FC4AC4-744B-4CC8-8EA0-76135887E9E9}" parentId="{4B076AE6-1B1B-4E1D-8137-0288D384703C}">
    <text>District amended 5/31/23</text>
  </threadedComment>
  <threadedComment ref="B6" dT="2022-12-07T13:01:48.49" personId="{73D40049-5642-4B29-8DCB-76AF88983CC5}" id="{0441B2D5-8236-4405-8A7F-FCFE76C8B02B}">
    <text>District submitted amendment 6/30/22</text>
  </threadedComment>
  <threadedComment ref="B6" dT="2023-05-05T12:51:11.68" personId="{73D40049-5642-4B29-8DCB-76AF88983CC5}" id="{134E43C0-9FD1-400D-B5DC-D2ED53F02A15}" parentId="{0441B2D5-8236-4405-8A7F-FCFE76C8B02B}">
    <text>District amended 4/22/23</text>
  </threadedComment>
  <threadedComment ref="B6" dT="2023-06-05T18:15:01.54" personId="{73D40049-5642-4B29-8DCB-76AF88983CC5}" id="{3C7B1A1D-B5A1-4B21-9240-6CD84B9C7AE6}" parentId="{0441B2D5-8236-4405-8A7F-FCFE76C8B02B}">
    <text>District amended 5/4/23</text>
  </threadedComment>
  <threadedComment ref="B8" dT="2022-06-06T11:42:31.89" personId="{73D40049-5642-4B29-8DCB-76AF88983CC5}" id="{3325DB43-C04A-46D3-A653-7E429D746DC2}">
    <text>District received approved amendment to their plan on 5/26/22</text>
  </threadedComment>
  <threadedComment ref="B8" dT="2022-09-01T14:04:53.92" personId="{73D40049-5642-4B29-8DCB-76AF88983CC5}" id="{6ADBC990-C3D1-4106-A432-4F0F31D18820}" parentId="{3325DB43-C04A-46D3-A653-7E429D746DC2}">
    <text>District submitted another amendment approved by District Support on 8/31/22</text>
  </threadedComment>
  <threadedComment ref="B8" dT="2023-02-07T14:38:40.53" personId="{73D40049-5642-4B29-8DCB-76AF88983CC5}" id="{99943028-0CB9-44C2-9E33-8E66C131B140}" parentId="{3325DB43-C04A-46D3-A653-7E429D746DC2}">
    <text>District submitted another amendment partially approved by District Support on 2/7/23</text>
  </threadedComment>
  <threadedComment ref="B8" dT="2023-03-06T18:30:38.34" personId="{73D40049-5642-4B29-8DCB-76AF88983CC5}" id="{0FE13454-C642-4C7F-82EC-C8876BB599A4}" parentId="{3325DB43-C04A-46D3-A653-7E429D746DC2}">
    <text>District submitted amendment 2/17/23</text>
  </threadedComment>
  <threadedComment ref="B8" dT="2023-06-05T18:15:33.76" personId="{73D40049-5642-4B29-8DCB-76AF88983CC5}" id="{DED89A02-3FFE-4558-8E3E-C1BAF88BC1D7}" parentId="{3325DB43-C04A-46D3-A653-7E429D746DC2}">
    <text>District amended 4/25/23</text>
  </threadedComment>
  <threadedComment ref="B8" dT="2023-06-05T18:15:44.90" personId="{73D40049-5642-4B29-8DCB-76AF88983CC5}" id="{B89B3237-7E40-4A1B-A738-7AA00ECE110D}" parentId="{3325DB43-C04A-46D3-A653-7E429D746DC2}">
    <text>District amended 5/18/23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AF15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5" sqref="A5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85546875" bestFit="1" customWidth="1"/>
    <col min="5" max="6" width="13.140625" customWidth="1"/>
    <col min="7" max="7" width="18.42578125" customWidth="1"/>
    <col min="8" max="8" width="19.85546875" customWidth="1"/>
    <col min="9" max="14" width="15.7109375" customWidth="1"/>
    <col min="15" max="17" width="13.140625" customWidth="1"/>
    <col min="18" max="22" width="14.7109375" customWidth="1"/>
    <col min="23" max="23" width="13.85546875" bestFit="1" customWidth="1"/>
    <col min="24" max="24" width="17.5703125" bestFit="1" customWidth="1"/>
    <col min="25" max="25" width="14.7109375" customWidth="1"/>
    <col min="26" max="26" width="16.140625" bestFit="1" customWidth="1"/>
    <col min="27" max="27" width="13.5703125" customWidth="1"/>
    <col min="28" max="28" width="14.28515625" style="38" bestFit="1" customWidth="1"/>
    <col min="32" max="32" width="16.7109375" customWidth="1"/>
    <col min="34" max="34" width="8.85546875" customWidth="1"/>
  </cols>
  <sheetData>
    <row r="1" spans="1:32" ht="90" x14ac:dyDescent="0.25">
      <c r="A1" s="32" t="s">
        <v>0</v>
      </c>
      <c r="B1" s="33" t="s">
        <v>1</v>
      </c>
      <c r="C1" s="34" t="s">
        <v>2</v>
      </c>
      <c r="D1" s="14" t="s">
        <v>3</v>
      </c>
      <c r="E1" s="14" t="s">
        <v>27</v>
      </c>
      <c r="F1" s="17" t="s">
        <v>28</v>
      </c>
      <c r="G1" s="14" t="s">
        <v>36</v>
      </c>
      <c r="H1" s="17" t="s">
        <v>35</v>
      </c>
      <c r="I1" s="4" t="s">
        <v>34</v>
      </c>
      <c r="J1" s="25" t="s">
        <v>33</v>
      </c>
      <c r="K1" s="4" t="s">
        <v>32</v>
      </c>
      <c r="L1" s="4" t="s">
        <v>9</v>
      </c>
      <c r="M1" s="25" t="s">
        <v>30</v>
      </c>
      <c r="N1" s="4" t="s">
        <v>32</v>
      </c>
      <c r="O1" s="4" t="s">
        <v>8</v>
      </c>
      <c r="P1" s="20" t="s">
        <v>31</v>
      </c>
      <c r="Q1" s="5" t="s">
        <v>10</v>
      </c>
      <c r="R1" s="3" t="s">
        <v>4</v>
      </c>
      <c r="S1" s="4" t="s">
        <v>7</v>
      </c>
      <c r="T1" s="20" t="s">
        <v>25</v>
      </c>
      <c r="U1" s="28" t="s">
        <v>32</v>
      </c>
      <c r="V1" s="5" t="s">
        <v>11</v>
      </c>
      <c r="W1" s="3" t="s">
        <v>5</v>
      </c>
      <c r="X1" s="4" t="s">
        <v>12</v>
      </c>
      <c r="Y1" s="20" t="s">
        <v>26</v>
      </c>
      <c r="Z1" s="5" t="s">
        <v>13</v>
      </c>
      <c r="AA1" s="3" t="s">
        <v>14</v>
      </c>
      <c r="AB1" s="36" t="s">
        <v>15</v>
      </c>
    </row>
    <row r="2" spans="1:32" x14ac:dyDescent="0.25">
      <c r="A2" s="35" t="s">
        <v>16</v>
      </c>
      <c r="B2" s="1">
        <v>44615</v>
      </c>
      <c r="C2" s="6">
        <f>D2+R2+W2</f>
        <v>9514849.3900000006</v>
      </c>
      <c r="D2" s="15">
        <v>6927485.3899999997</v>
      </c>
      <c r="E2" s="15">
        <f>1767180.16+65000</f>
        <v>1832180.16</v>
      </c>
      <c r="F2" s="18"/>
      <c r="G2" s="15">
        <f>314058+864835</f>
        <v>1178893</v>
      </c>
      <c r="H2" s="18"/>
      <c r="I2" s="2">
        <v>663155</v>
      </c>
      <c r="J2" s="26"/>
      <c r="K2" s="1"/>
      <c r="L2" s="2">
        <v>6500</v>
      </c>
      <c r="M2" s="26"/>
      <c r="N2" s="1"/>
      <c r="O2" s="2">
        <f>1118180.32+1710664.39</f>
        <v>2828844.71</v>
      </c>
      <c r="P2" s="21"/>
      <c r="Q2" s="6">
        <f>D2-E2-F2-G2-H2-I2-J2-L2-M2-O2-P2</f>
        <v>417912.51999999955</v>
      </c>
      <c r="R2" s="7">
        <v>450972</v>
      </c>
      <c r="S2" s="2">
        <f>370972+80000</f>
        <v>450972</v>
      </c>
      <c r="T2" s="21"/>
      <c r="U2" s="29"/>
      <c r="V2" s="6">
        <f>R2-S2-T2</f>
        <v>0</v>
      </c>
      <c r="W2" s="7">
        <v>2136392</v>
      </c>
      <c r="X2" s="8">
        <v>2136392</v>
      </c>
      <c r="Y2" s="23"/>
      <c r="Z2" s="9">
        <f>W2-X2-Y2</f>
        <v>0</v>
      </c>
      <c r="AA2" s="56">
        <v>1739335.61</v>
      </c>
      <c r="AB2" s="37">
        <v>1370620</v>
      </c>
      <c r="AF2" s="45"/>
    </row>
    <row r="3" spans="1:32" ht="14.25" customHeight="1" x14ac:dyDescent="0.25">
      <c r="A3" s="35" t="s">
        <v>17</v>
      </c>
      <c r="B3" s="1">
        <v>44621</v>
      </c>
      <c r="C3" s="6">
        <f t="shared" ref="C3:C11" si="0">D3+R3+W3</f>
        <v>7852846.0999999996</v>
      </c>
      <c r="D3" s="15">
        <v>105000</v>
      </c>
      <c r="E3" s="15"/>
      <c r="F3" s="18"/>
      <c r="G3" s="15"/>
      <c r="H3" s="18"/>
      <c r="I3" s="2"/>
      <c r="J3" s="26"/>
      <c r="K3" s="1"/>
      <c r="L3" s="2"/>
      <c r="M3" s="26"/>
      <c r="N3" s="1"/>
      <c r="O3" s="2"/>
      <c r="P3" s="21"/>
      <c r="Q3" s="6">
        <f t="shared" ref="Q3:Q11" si="1">D3-E3-F3-G3-H3-I3-J3-L3-M3-O3-P3</f>
        <v>105000</v>
      </c>
      <c r="R3" s="7">
        <v>893827.1</v>
      </c>
      <c r="S3" s="2">
        <f>69370.98+90428.33+362108.52+19166+295500.1</f>
        <v>836573.93</v>
      </c>
      <c r="T3" s="21"/>
      <c r="U3" s="29"/>
      <c r="V3" s="6">
        <f>R3-S3-T3</f>
        <v>57253.169999999925</v>
      </c>
      <c r="W3" s="7">
        <v>6854019</v>
      </c>
      <c r="X3" s="8">
        <f>450000+2221500+3982419+200100</f>
        <v>6854019</v>
      </c>
      <c r="Y3" s="23"/>
      <c r="Z3" s="9">
        <f t="shared" ref="Z3:Z11" si="2">W3-X3-Y3</f>
        <v>0</v>
      </c>
      <c r="AA3" s="13" t="s">
        <v>29</v>
      </c>
      <c r="AB3" s="43">
        <v>259252.1</v>
      </c>
      <c r="AF3" s="44"/>
    </row>
    <row r="4" spans="1:32" ht="14.25" customHeight="1" x14ac:dyDescent="0.25">
      <c r="A4" s="58" t="s">
        <v>18</v>
      </c>
      <c r="B4" s="1">
        <v>44623</v>
      </c>
      <c r="C4" s="6">
        <f t="shared" si="0"/>
        <v>1000</v>
      </c>
      <c r="D4" s="15">
        <v>0</v>
      </c>
      <c r="E4" s="15"/>
      <c r="F4" s="18"/>
      <c r="G4" s="15"/>
      <c r="H4" s="18"/>
      <c r="I4" s="2"/>
      <c r="J4" s="26"/>
      <c r="K4" s="1"/>
      <c r="L4" s="2"/>
      <c r="M4" s="26"/>
      <c r="N4" s="1"/>
      <c r="O4" s="2"/>
      <c r="P4" s="21"/>
      <c r="Q4" s="6">
        <f t="shared" si="1"/>
        <v>0</v>
      </c>
      <c r="R4" s="7">
        <v>1000</v>
      </c>
      <c r="S4" s="2">
        <v>1000</v>
      </c>
      <c r="T4" s="21"/>
      <c r="U4" s="29"/>
      <c r="V4" s="6">
        <f t="shared" ref="V4:V11" si="3">R4-S4-T4</f>
        <v>0</v>
      </c>
      <c r="W4" s="7"/>
      <c r="X4" s="8"/>
      <c r="Y4" s="23"/>
      <c r="Z4" s="9">
        <f t="shared" si="2"/>
        <v>0</v>
      </c>
      <c r="AA4" s="13" t="s">
        <v>29</v>
      </c>
      <c r="AB4" s="37" t="s">
        <v>29</v>
      </c>
      <c r="AF4" s="40"/>
    </row>
    <row r="5" spans="1:32" ht="14.25" customHeight="1" x14ac:dyDescent="0.25">
      <c r="A5" s="35" t="s">
        <v>19</v>
      </c>
      <c r="B5" s="1">
        <v>44628</v>
      </c>
      <c r="C5" s="6">
        <f>D5+R5+W5</f>
        <v>10739</v>
      </c>
      <c r="D5" s="15">
        <v>0</v>
      </c>
      <c r="E5" s="15"/>
      <c r="F5" s="18"/>
      <c r="G5" s="15"/>
      <c r="H5" s="18"/>
      <c r="I5" s="2"/>
      <c r="J5" s="26"/>
      <c r="K5" s="1"/>
      <c r="L5" s="2"/>
      <c r="M5" s="26"/>
      <c r="N5" s="1"/>
      <c r="O5" s="2"/>
      <c r="P5" s="21"/>
      <c r="Q5" s="6">
        <f t="shared" si="1"/>
        <v>0</v>
      </c>
      <c r="R5" s="7">
        <v>10739</v>
      </c>
      <c r="S5" s="2">
        <f>2944.4+1027</f>
        <v>3971.4</v>
      </c>
      <c r="T5" s="21"/>
      <c r="U5" s="29"/>
      <c r="V5" s="6">
        <f t="shared" si="3"/>
        <v>6767.6</v>
      </c>
      <c r="W5" s="7"/>
      <c r="X5" s="8"/>
      <c r="Y5" s="23"/>
      <c r="Z5" s="9">
        <f t="shared" si="2"/>
        <v>0</v>
      </c>
      <c r="AA5" s="13" t="s">
        <v>29</v>
      </c>
      <c r="AB5" s="37" t="s">
        <v>29</v>
      </c>
      <c r="AF5" s="40"/>
    </row>
    <row r="6" spans="1:32" ht="14.25" customHeight="1" x14ac:dyDescent="0.25">
      <c r="A6" s="35" t="s">
        <v>20</v>
      </c>
      <c r="B6" s="1">
        <v>44630</v>
      </c>
      <c r="C6" s="6">
        <f t="shared" si="0"/>
        <v>3903566.3200000003</v>
      </c>
      <c r="D6" s="15">
        <v>1195728.32</v>
      </c>
      <c r="E6" s="15">
        <f>2645.3+1279.67+3961.31+9186.5+20000+10871.6+6235.08+6423.11+6453.28+16267.76+922.11+34960</f>
        <v>119205.72</v>
      </c>
      <c r="F6" s="18"/>
      <c r="G6" s="15">
        <v>600000</v>
      </c>
      <c r="H6" s="18"/>
      <c r="I6" s="2">
        <f>8150.01+8165.14+8159.9+16350.9+16318.58+32531.28</f>
        <v>89675.81</v>
      </c>
      <c r="J6" s="26"/>
      <c r="K6" s="1"/>
      <c r="L6" s="2">
        <f>2250+4858.6</f>
        <v>7108.6</v>
      </c>
      <c r="M6" s="26"/>
      <c r="N6" s="1"/>
      <c r="O6" s="2">
        <f>102692.55+23259.81+14818.77+56124.5+15136.64+30308.21+30469.12+59838.81</f>
        <v>332648.41000000003</v>
      </c>
      <c r="P6" s="21"/>
      <c r="Q6" s="6">
        <f t="shared" si="1"/>
        <v>47089.780000000086</v>
      </c>
      <c r="R6" s="7">
        <v>257838</v>
      </c>
      <c r="S6" s="2">
        <f>11097.81+3916.87+4975.91+5418.57</f>
        <v>25409.16</v>
      </c>
      <c r="T6" s="21"/>
      <c r="U6" s="29"/>
      <c r="V6" s="6">
        <f t="shared" si="3"/>
        <v>232428.84</v>
      </c>
      <c r="W6" s="7">
        <v>2450000</v>
      </c>
      <c r="X6" s="8">
        <f>1725000+105000+10000+610000</f>
        <v>2450000</v>
      </c>
      <c r="Y6" s="23"/>
      <c r="Z6" s="9">
        <f>W6-X6-Y6</f>
        <v>0</v>
      </c>
      <c r="AA6" s="13" t="s">
        <v>29</v>
      </c>
      <c r="AB6" s="37">
        <v>1045296.35</v>
      </c>
      <c r="AF6" s="41"/>
    </row>
    <row r="7" spans="1:32" ht="14.25" customHeight="1" x14ac:dyDescent="0.25">
      <c r="A7" s="58" t="s">
        <v>21</v>
      </c>
      <c r="B7" s="1">
        <v>44644</v>
      </c>
      <c r="C7" s="6">
        <f t="shared" si="0"/>
        <v>115636.19</v>
      </c>
      <c r="D7" s="15">
        <v>104098.69</v>
      </c>
      <c r="E7" s="15">
        <v>7777.56</v>
      </c>
      <c r="F7" s="18"/>
      <c r="G7" s="15"/>
      <c r="H7" s="18"/>
      <c r="I7" s="2">
        <f>8996.56+14992.78+40491.47</f>
        <v>64480.81</v>
      </c>
      <c r="J7" s="26"/>
      <c r="K7" s="1"/>
      <c r="L7" s="2">
        <f>7777.56+2998.85+4997.61+13758.8</f>
        <v>29532.82</v>
      </c>
      <c r="M7" s="26"/>
      <c r="N7" s="1"/>
      <c r="O7" s="2">
        <v>2307.5</v>
      </c>
      <c r="P7" s="21"/>
      <c r="Q7" s="6">
        <f t="shared" si="1"/>
        <v>7.2759576141834259E-12</v>
      </c>
      <c r="R7" s="7">
        <v>11537.5</v>
      </c>
      <c r="S7" s="2">
        <v>11537.5</v>
      </c>
      <c r="T7" s="21"/>
      <c r="U7" s="29"/>
      <c r="V7" s="6">
        <f>R7-S7-T7</f>
        <v>0</v>
      </c>
      <c r="W7" s="7"/>
      <c r="X7" s="8"/>
      <c r="Y7" s="23"/>
      <c r="Z7" s="9">
        <f t="shared" si="2"/>
        <v>0</v>
      </c>
      <c r="AA7" s="13" t="s">
        <v>29</v>
      </c>
      <c r="AB7" s="37" t="s">
        <v>29</v>
      </c>
      <c r="AF7" s="42"/>
    </row>
    <row r="8" spans="1:32" x14ac:dyDescent="0.25">
      <c r="A8" s="58" t="s">
        <v>22</v>
      </c>
      <c r="B8" s="1">
        <v>44644</v>
      </c>
      <c r="C8" s="6">
        <f t="shared" si="0"/>
        <v>6632259</v>
      </c>
      <c r="D8" s="16">
        <v>6625459</v>
      </c>
      <c r="E8" s="16">
        <f>101732.95+44267.05</f>
        <v>146000</v>
      </c>
      <c r="F8" s="19"/>
      <c r="G8" s="16">
        <v>13041.2</v>
      </c>
      <c r="H8" s="19"/>
      <c r="I8" s="11">
        <f>177157.07+32493.77+36896.55+94259.69+50847.52</f>
        <v>391654.60000000003</v>
      </c>
      <c r="J8" s="27">
        <v>41659.11</v>
      </c>
      <c r="K8" s="31">
        <v>45664</v>
      </c>
      <c r="L8" s="11">
        <f>13174.4+161854.64+93077.87+36743.81+63416.49</f>
        <v>368267.21</v>
      </c>
      <c r="M8" s="27">
        <v>122912.29</v>
      </c>
      <c r="N8" s="31">
        <v>45664</v>
      </c>
      <c r="O8" s="11">
        <f>1656440.02+317340.76+568126.72+1013321.11+885430.97</f>
        <v>4440659.58</v>
      </c>
      <c r="P8" s="22">
        <v>1101265.01</v>
      </c>
      <c r="Q8" s="6">
        <f t="shared" si="1"/>
        <v>0</v>
      </c>
      <c r="R8" s="10">
        <v>0</v>
      </c>
      <c r="S8" s="11"/>
      <c r="T8" s="22"/>
      <c r="U8" s="30"/>
      <c r="V8" s="6">
        <f t="shared" si="3"/>
        <v>0</v>
      </c>
      <c r="W8" s="10">
        <v>6800</v>
      </c>
      <c r="X8" s="12">
        <v>6800</v>
      </c>
      <c r="Y8" s="24"/>
      <c r="Z8" s="9">
        <f t="shared" si="2"/>
        <v>0</v>
      </c>
      <c r="AA8" s="39">
        <v>8789665.4000000004</v>
      </c>
      <c r="AB8" s="37">
        <v>113000</v>
      </c>
      <c r="AF8" s="41"/>
    </row>
    <row r="9" spans="1:32" x14ac:dyDescent="0.25">
      <c r="A9" s="35" t="s">
        <v>23</v>
      </c>
      <c r="B9" s="1">
        <v>44672</v>
      </c>
      <c r="C9" s="6">
        <f t="shared" si="0"/>
        <v>78000</v>
      </c>
      <c r="D9" s="15">
        <v>58886.93</v>
      </c>
      <c r="E9" s="15">
        <f>37791.07+1559.53</f>
        <v>39350.6</v>
      </c>
      <c r="F9" s="18"/>
      <c r="G9" s="15">
        <v>1100.69</v>
      </c>
      <c r="H9" s="18"/>
      <c r="I9" s="2"/>
      <c r="J9" s="26"/>
      <c r="K9" s="1"/>
      <c r="L9" s="2">
        <v>11478.67</v>
      </c>
      <c r="M9" s="26"/>
      <c r="N9" s="1"/>
      <c r="O9" s="2">
        <v>5000</v>
      </c>
      <c r="P9" s="21"/>
      <c r="Q9" s="6">
        <f>D9-E9-F9-G9-H9-I9-J9-L9-M9-O9-P9</f>
        <v>1956.970000000003</v>
      </c>
      <c r="R9" s="7">
        <v>19113.07</v>
      </c>
      <c r="S9" s="2">
        <f>3516.5+1792.69</f>
        <v>5309.1900000000005</v>
      </c>
      <c r="T9" s="22"/>
      <c r="U9" s="30"/>
      <c r="V9" s="6">
        <f t="shared" si="3"/>
        <v>13803.88</v>
      </c>
      <c r="W9" s="7"/>
      <c r="X9" s="8"/>
      <c r="Y9" s="23"/>
      <c r="Z9" s="9">
        <f t="shared" si="2"/>
        <v>0</v>
      </c>
      <c r="AA9" s="13" t="s">
        <v>29</v>
      </c>
      <c r="AB9" s="37" t="s">
        <v>29</v>
      </c>
      <c r="AF9" s="42"/>
    </row>
    <row r="10" spans="1:32" x14ac:dyDescent="0.25">
      <c r="A10" s="58" t="s">
        <v>24</v>
      </c>
      <c r="B10" s="1">
        <v>44685</v>
      </c>
      <c r="C10" s="6">
        <f t="shared" si="0"/>
        <v>616804</v>
      </c>
      <c r="D10" s="15">
        <v>23156</v>
      </c>
      <c r="E10" s="15"/>
      <c r="F10" s="18"/>
      <c r="G10" s="15"/>
      <c r="H10" s="18"/>
      <c r="I10" s="2"/>
      <c r="J10" s="26"/>
      <c r="K10" s="1"/>
      <c r="L10" s="2">
        <v>7495</v>
      </c>
      <c r="M10" s="26"/>
      <c r="N10" s="1"/>
      <c r="O10" s="2">
        <v>15661</v>
      </c>
      <c r="P10" s="21"/>
      <c r="Q10" s="6">
        <f t="shared" si="1"/>
        <v>0</v>
      </c>
      <c r="R10" s="7">
        <v>593648</v>
      </c>
      <c r="S10" s="2">
        <f>70209+160050+30784+106907+225698</f>
        <v>593648</v>
      </c>
      <c r="T10" s="26"/>
      <c r="U10" s="29"/>
      <c r="V10" s="6">
        <f t="shared" si="3"/>
        <v>0</v>
      </c>
      <c r="W10" s="7"/>
      <c r="X10" s="8"/>
      <c r="Y10" s="23"/>
      <c r="Z10" s="9">
        <f t="shared" si="2"/>
        <v>0</v>
      </c>
      <c r="AA10" s="13" t="s">
        <v>29</v>
      </c>
      <c r="AB10" s="37" t="s">
        <v>29</v>
      </c>
      <c r="AF10" s="40"/>
    </row>
    <row r="11" spans="1:32" x14ac:dyDescent="0.25">
      <c r="A11" s="35" t="s">
        <v>37</v>
      </c>
      <c r="B11" s="1">
        <v>45035</v>
      </c>
      <c r="C11" s="6">
        <f t="shared" si="0"/>
        <v>1274300</v>
      </c>
      <c r="D11" s="15">
        <v>1274300</v>
      </c>
      <c r="E11" s="2"/>
      <c r="F11" s="26"/>
      <c r="G11" s="2"/>
      <c r="H11" s="26"/>
      <c r="I11" s="2">
        <f>24414.76+68298.77+64342.31+56623.27+63855.58+60408.92+56501.54+62233.03+56674.4+70326.26+59056.37+126872.7+32683.93+64867.97+70062.67+64125.01</f>
        <v>1001347.49</v>
      </c>
      <c r="J11" s="26">
        <v>63738.6</v>
      </c>
      <c r="K11" s="1">
        <v>45673</v>
      </c>
      <c r="L11" s="2"/>
      <c r="M11" s="26"/>
      <c r="N11" s="1"/>
      <c r="O11" s="2"/>
      <c r="P11" s="26"/>
      <c r="Q11" s="6">
        <f t="shared" si="1"/>
        <v>209213.91</v>
      </c>
      <c r="R11" s="2"/>
      <c r="S11" s="2"/>
      <c r="T11" s="26"/>
      <c r="U11" s="1"/>
      <c r="V11" s="6">
        <f t="shared" si="3"/>
        <v>0</v>
      </c>
      <c r="W11" s="7"/>
      <c r="X11" s="8"/>
      <c r="Y11" s="47"/>
      <c r="Z11" s="9">
        <f t="shared" si="2"/>
        <v>0</v>
      </c>
      <c r="AA11" s="13"/>
      <c r="AB11" s="37"/>
      <c r="AF11" s="40"/>
    </row>
    <row r="12" spans="1:32" ht="15.75" thickBot="1" x14ac:dyDescent="0.3">
      <c r="A12" s="48"/>
      <c r="B12" s="49" t="s">
        <v>6</v>
      </c>
      <c r="C12" s="46">
        <f>SUM(C2:C11)</f>
        <v>30000000.000000004</v>
      </c>
      <c r="D12" s="52">
        <f>SUM(D2:D11)</f>
        <v>16314114.33</v>
      </c>
      <c r="E12" s="50">
        <f>SUM(E2:E11)</f>
        <v>2144514.04</v>
      </c>
      <c r="F12" s="51">
        <f>SUM(F2:F11)</f>
        <v>0</v>
      </c>
      <c r="G12" s="50">
        <f>SUM(G2:G11)</f>
        <v>1793034.89</v>
      </c>
      <c r="H12" s="51">
        <f t="shared" ref="H12:J12" si="4">SUM(H2:H11)</f>
        <v>0</v>
      </c>
      <c r="I12" s="50">
        <f t="shared" si="4"/>
        <v>2210313.71</v>
      </c>
      <c r="J12" s="51">
        <f t="shared" si="4"/>
        <v>105397.70999999999</v>
      </c>
      <c r="K12" s="50"/>
      <c r="L12" s="50">
        <f>SUM(L2:L11)</f>
        <v>430382.3</v>
      </c>
      <c r="M12" s="51">
        <f>SUM(M2:M11)</f>
        <v>122912.29</v>
      </c>
      <c r="N12" s="50"/>
      <c r="O12" s="50">
        <f>SUM(O2:O11)</f>
        <v>7625121.2000000002</v>
      </c>
      <c r="P12" s="51">
        <f t="shared" ref="P12" si="5">SUM(P2:P11)</f>
        <v>1101265.01</v>
      </c>
      <c r="Q12" s="50">
        <f>SUM(Q2:Q11)</f>
        <v>781173.17999999959</v>
      </c>
      <c r="R12" s="50">
        <f>SUM(R2:R11)</f>
        <v>2238674.67</v>
      </c>
      <c r="S12" s="50">
        <f t="shared" ref="S12:T12" si="6">SUM(S2:S11)</f>
        <v>1928421.18</v>
      </c>
      <c r="T12" s="51">
        <f t="shared" si="6"/>
        <v>0</v>
      </c>
      <c r="U12" s="50"/>
      <c r="V12" s="46">
        <f>SUM(V2:V11)</f>
        <v>310253.48999999993</v>
      </c>
      <c r="W12" s="53">
        <f t="shared" ref="W12:Z12" si="7">SUM(W2:W11)</f>
        <v>11447211</v>
      </c>
      <c r="X12" s="50">
        <f t="shared" si="7"/>
        <v>11447211</v>
      </c>
      <c r="Y12" s="51">
        <f t="shared" si="7"/>
        <v>0</v>
      </c>
      <c r="Z12" s="46">
        <f t="shared" si="7"/>
        <v>0</v>
      </c>
      <c r="AA12" s="54"/>
      <c r="AB12" s="55"/>
    </row>
    <row r="13" spans="1:32" x14ac:dyDescent="0.25">
      <c r="D13" s="57"/>
    </row>
    <row r="14" spans="1:32" x14ac:dyDescent="0.25">
      <c r="C14" s="42"/>
    </row>
    <row r="15" spans="1:32" x14ac:dyDescent="0.25">
      <c r="A15" s="59" t="s">
        <v>38</v>
      </c>
    </row>
  </sheetData>
  <pageMargins left="0.7" right="0.7" top="0.75" bottom="0.75" header="0.3" footer="0.3"/>
  <pageSetup paperSize="5" scale="42" orientation="landscape" r:id="rId1"/>
  <headerFooter>
    <oddHeader>&amp;C&amp;F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Mason, Teri - Division of Budget and Financial Managem</cp:lastModifiedBy>
  <cp:lastPrinted>2022-11-07T14:19:24Z</cp:lastPrinted>
  <dcterms:created xsi:type="dcterms:W3CDTF">2022-04-11T14:40:03Z</dcterms:created>
  <dcterms:modified xsi:type="dcterms:W3CDTF">2025-02-03T19:25:17Z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  <property fmtid="{D5CDD505-2E9C-101B-9397-08002B2CF9AE}" pid="3" name="MSIP_Label_eb544694-0027-44fa-bee4-2648c0363f9d_Enabled">
    <vt:lpwstr>true</vt:lpwstr>
  </property>
  <property fmtid="{D5CDD505-2E9C-101B-9397-08002B2CF9AE}" pid="4" name="MSIP_Label_eb544694-0027-44fa-bee4-2648c0363f9d_SetDate">
    <vt:lpwstr>2024-07-02T13:56:32Z</vt:lpwstr>
  </property>
  <property fmtid="{D5CDD505-2E9C-101B-9397-08002B2CF9AE}" pid="5" name="MSIP_Label_eb544694-0027-44fa-bee4-2648c0363f9d_Method">
    <vt:lpwstr>Standard</vt:lpwstr>
  </property>
  <property fmtid="{D5CDD505-2E9C-101B-9397-08002B2CF9AE}" pid="6" name="MSIP_Label_eb544694-0027-44fa-bee4-2648c0363f9d_Name">
    <vt:lpwstr>defa4170-0d19-0005-0004-bc88714345d2</vt:lpwstr>
  </property>
  <property fmtid="{D5CDD505-2E9C-101B-9397-08002B2CF9AE}" pid="7" name="MSIP_Label_eb544694-0027-44fa-bee4-2648c0363f9d_SiteId">
    <vt:lpwstr>9360c11f-90e6-4706-ad00-25fcdc9e2ed1</vt:lpwstr>
  </property>
  <property fmtid="{D5CDD505-2E9C-101B-9397-08002B2CF9AE}" pid="8" name="MSIP_Label_eb544694-0027-44fa-bee4-2648c0363f9d_ActionId">
    <vt:lpwstr>93435da3-b4ce-444f-bba1-89fca7d09614</vt:lpwstr>
  </property>
  <property fmtid="{D5CDD505-2E9C-101B-9397-08002B2CF9AE}" pid="9" name="MSIP_Label_eb544694-0027-44fa-bee4-2648c0363f9d_ContentBits">
    <vt:lpwstr>0</vt:lpwstr>
  </property>
</Properties>
</file>